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CIRD\SYB\2021\Final Table\SYB V3\Chapter 8 - Transport and communication\"/>
    </mc:Choice>
  </mc:AlternateContent>
  <xr:revisionPtr revIDLastSave="0" documentId="13_ncr:1_{052FA9E9-1DCA-41C8-B61F-9747FEA47D7E}" xr6:coauthVersionLast="47" xr6:coauthVersionMax="47" xr10:uidLastSave="{00000000-0000-0000-0000-000000000000}"/>
  <bookViews>
    <workbookView xWindow="-120" yWindow="-120" windowWidth="20730" windowHeight="11310" xr2:uid="{D9EC54C2-5569-40DB-9DD0-B4364C7CDD0F}"/>
  </bookViews>
  <sheets>
    <sheet name="Sheet2" sheetId="3" r:id="rId1"/>
  </sheets>
  <calcPr calcId="181029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Y5" i="3" l="1"/>
  <c r="Y6" i="3"/>
  <c r="Y7" i="3"/>
  <c r="Y8" i="3"/>
  <c r="Y9" i="3"/>
  <c r="Y10" i="3"/>
  <c r="Y11" i="3"/>
  <c r="Y12" i="3"/>
  <c r="Y13" i="3"/>
  <c r="Y14" i="3"/>
  <c r="Y15" i="3"/>
  <c r="Y16" i="3"/>
  <c r="Y17" i="3"/>
  <c r="Y18" i="3"/>
  <c r="Y19" i="3"/>
  <c r="Y20" i="3"/>
  <c r="Y21" i="3"/>
  <c r="Y22" i="3"/>
  <c r="Y23" i="3"/>
  <c r="Y24" i="3"/>
  <c r="Y25" i="3"/>
  <c r="W11" i="3"/>
  <c r="W16" i="3"/>
  <c r="W19" i="3"/>
  <c r="W21" i="3"/>
  <c r="W25" i="3"/>
  <c r="U6" i="3"/>
  <c r="U15" i="3"/>
  <c r="U16" i="3"/>
  <c r="U25" i="3"/>
  <c r="S6" i="3"/>
  <c r="S7" i="3"/>
  <c r="S9" i="3"/>
  <c r="S11" i="3"/>
  <c r="S12" i="3"/>
  <c r="S13" i="3"/>
  <c r="S15" i="3"/>
  <c r="S17" i="3"/>
  <c r="S18" i="3"/>
  <c r="S19" i="3"/>
  <c r="S21" i="3"/>
  <c r="S23" i="3"/>
  <c r="S24" i="3"/>
  <c r="S25" i="3"/>
  <c r="Q5" i="3"/>
  <c r="Q11" i="3"/>
  <c r="Q21" i="3"/>
  <c r="Q23" i="3"/>
  <c r="Q25" i="3"/>
  <c r="O7" i="3"/>
  <c r="O10" i="3"/>
  <c r="O16" i="3"/>
  <c r="O17" i="3"/>
  <c r="O18" i="3"/>
  <c r="O22" i="3"/>
  <c r="O24" i="3"/>
  <c r="O25" i="3"/>
  <c r="M6" i="3"/>
  <c r="M7" i="3"/>
  <c r="M11" i="3"/>
  <c r="M12" i="3"/>
  <c r="M15" i="3"/>
  <c r="M17" i="3"/>
  <c r="M18" i="3"/>
  <c r="M21" i="3"/>
  <c r="M22" i="3"/>
  <c r="M23" i="3"/>
  <c r="M24" i="3"/>
  <c r="M25" i="3"/>
  <c r="K6" i="3"/>
  <c r="K12" i="3"/>
  <c r="K17" i="3"/>
  <c r="K25" i="3"/>
  <c r="I13" i="3"/>
  <c r="I15" i="3"/>
  <c r="I18" i="3"/>
  <c r="I23" i="3"/>
  <c r="I25" i="3"/>
  <c r="G5" i="3"/>
  <c r="G6" i="3"/>
  <c r="G9" i="3"/>
  <c r="G10" i="3"/>
  <c r="G11" i="3"/>
  <c r="G12" i="3"/>
  <c r="G13" i="3"/>
  <c r="G14" i="3"/>
  <c r="G15" i="3"/>
  <c r="G16" i="3"/>
  <c r="G17" i="3"/>
  <c r="G18" i="3"/>
  <c r="G19" i="3"/>
  <c r="G21" i="3"/>
  <c r="G23" i="3"/>
  <c r="G24" i="3"/>
  <c r="G25" i="3"/>
  <c r="E5" i="3"/>
  <c r="E6" i="3"/>
  <c r="E7" i="3"/>
  <c r="E10" i="3"/>
  <c r="E11" i="3"/>
  <c r="E12" i="3"/>
  <c r="E14" i="3"/>
  <c r="E17" i="3"/>
  <c r="E18" i="3"/>
  <c r="E19" i="3"/>
  <c r="E20" i="3"/>
  <c r="E21" i="3"/>
  <c r="E22" i="3"/>
  <c r="E23" i="3"/>
  <c r="E24" i="3"/>
  <c r="E25" i="3"/>
  <c r="C5" i="3"/>
  <c r="C6" i="3"/>
  <c r="C12" i="3"/>
  <c r="C15" i="3"/>
  <c r="C17" i="3"/>
  <c r="C19" i="3"/>
  <c r="C21" i="3"/>
  <c r="C23" i="3"/>
  <c r="C24" i="3"/>
  <c r="C25" i="3"/>
</calcChain>
</file>

<file path=xl/sharedStrings.xml><?xml version="1.0" encoding="utf-8"?>
<sst xmlns="http://schemas.openxmlformats.org/spreadsheetml/2006/main" count="61" uniqueCount="39">
  <si>
    <t>Dzongkhag</t>
  </si>
  <si>
    <t>Composite</t>
  </si>
  <si>
    <t>RCC Slab</t>
  </si>
  <si>
    <t>RCC T-Beam/ Girder</t>
  </si>
  <si>
    <t>RCC Arch</t>
  </si>
  <si>
    <t>Multicell Box culvert</t>
  </si>
  <si>
    <t>Steel Arch</t>
  </si>
  <si>
    <t>Steel Pony Truss</t>
  </si>
  <si>
    <t>Steel Truss/ Girder</t>
  </si>
  <si>
    <t>Steel Hemilton</t>
  </si>
  <si>
    <t>Total</t>
  </si>
  <si>
    <t>Bumthang</t>
  </si>
  <si>
    <t>Dagana</t>
  </si>
  <si>
    <t>Gasa</t>
  </si>
  <si>
    <t>Haa</t>
  </si>
  <si>
    <t>Paro</t>
  </si>
  <si>
    <t>Pema Gatshel</t>
  </si>
  <si>
    <t>Punakha</t>
  </si>
  <si>
    <t>Samdrup Jongkhar</t>
  </si>
  <si>
    <t>Samtse</t>
  </si>
  <si>
    <t>Sarpang</t>
  </si>
  <si>
    <t>Thimphu</t>
  </si>
  <si>
    <t>Trashigang</t>
  </si>
  <si>
    <t>Trashi Yangtse</t>
  </si>
  <si>
    <t>Trongsa</t>
  </si>
  <si>
    <t>Tsirang</t>
  </si>
  <si>
    <t>Wangdue Phodrang</t>
  </si>
  <si>
    <t>Zhemgang</t>
  </si>
  <si>
    <t>Bailey Suspension Bridge</t>
  </si>
  <si>
    <t>Bailey Bridge</t>
  </si>
  <si>
    <t>Pre-Stressed Concrete</t>
  </si>
  <si>
    <t>Lhuentse</t>
  </si>
  <si>
    <t>Number</t>
  </si>
  <si>
    <t>Source: Bridge Division, Department of Roads, MoWHS.</t>
  </si>
  <si>
    <t>Chhukha</t>
  </si>
  <si>
    <t>Monggar</t>
  </si>
  <si>
    <t>Total Length</t>
  </si>
  <si>
    <t>(Length in meter)</t>
  </si>
  <si>
    <t>Table 8.1.2: Number and Total Length of Motorable Bridges by Type and Dzongkhag as of June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</si>
</sst>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(* #,##0.00_);_(* \(#,##0.00\);_(* &quot;-&quot;??_);_(@_)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Sylfaen"/>
      <family val="1"/>
    </font>
    <font>
      <sz val="10"/>
      <name val="Sylfaen"/>
      <family val="1"/>
    </font>
    <font>
      <sz val="11"/>
      <color rgb="FFFF0000"/>
      <name val="Calibri"/>
      <family val="2"/>
      <scheme val="minor"/>
    </font>
    <font>
      <b/>
      <sz val="10"/>
      <color theme="1" tint="4.9989318521683403E-2"/>
      <name val="Sylfaen"/>
      <family val="1"/>
    </font>
    <font>
      <sz val="10"/>
      <color theme="1" tint="4.9989318521683403E-2"/>
      <name val="Sylfaen"/>
      <family val="1"/>
    </font>
    <font>
      <b/>
      <sz val="18"/>
      <color rgb="FFFF0000"/>
      <name val="Calibri"/>
      <family val="2"/>
      <scheme val="minor"/>
    </font>
    <font>
      <sz val="10"/>
      <name val="Arial"/>
      <family val="2"/>
    </font>
    <font>
      <sz val="9"/>
      <color theme="1"/>
      <name val="Sylfaen"/>
      <family val="1"/>
    </font>
    <font>
      <i/>
      <sz val="9"/>
      <color theme="1"/>
      <name val="Sylfaen"/>
      <family val="1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8" fillId="0" borderId="0"/>
    <xf numFmtId="43" fontId="8" fillId="0" borderId="0" applyFont="0" applyFill="0" applyBorder="0" applyAlignment="0" applyProtection="0"/>
  </cellStyleXfs>
  <cellXfs count="24">
    <xf numFmtId="0" fontId="0" fillId="0" borderId="0" xfId="0"/>
    <xf numFmtId="4" fontId="3" fillId="0" borderId="1" xfId="0" applyNumberFormat="1" applyFont="1" applyBorder="1" applyAlignment="1">
      <alignment horizontal="right"/>
    </xf>
    <xf numFmtId="4" fontId="2" fillId="0" borderId="1" xfId="1" applyNumberFormat="1" applyFont="1" applyBorder="1" applyAlignment="1">
      <alignment horizontal="right"/>
    </xf>
    <xf numFmtId="0" fontId="0" fillId="0" borderId="0" xfId="0"/>
    <xf numFmtId="0" fontId="4" fillId="0" borderId="0" xfId="0" applyFont="1"/>
    <xf numFmtId="0" fontId="7" fillId="0" borderId="0" xfId="0" applyFont="1"/>
    <xf numFmtId="0" fontId="5" fillId="2" borderId="1" xfId="0" applyFont="1" applyFill="1" applyBorder="1" applyAlignment="1">
      <alignment horizontal="right" vertical="center" wrapText="1"/>
    </xf>
    <xf numFmtId="0" fontId="6" fillId="0" borderId="1" xfId="0" applyFont="1" applyBorder="1" applyAlignment="1">
      <alignment horizontal="right"/>
    </xf>
    <xf numFmtId="0" fontId="2" fillId="0" borderId="1" xfId="0" applyFont="1" applyBorder="1" applyAlignment="1">
      <alignment horizontal="right"/>
    </xf>
    <xf numFmtId="0" fontId="5" fillId="0" borderId="0" xfId="0" applyFont="1" applyAlignment="1">
      <alignment horizontal="left" vertical="top"/>
    </xf>
    <xf numFmtId="0" fontId="0" fillId="0" borderId="0" xfId="0"/>
    <xf numFmtId="0" fontId="3" fillId="0" borderId="1" xfId="0" applyFont="1" applyBorder="1" applyAlignment="1" applyProtection="1">
      <alignment horizontal="left"/>
    </xf>
    <xf numFmtId="0" fontId="2" fillId="0" borderId="1" xfId="0" applyFont="1" applyBorder="1"/>
    <xf numFmtId="0" fontId="9" fillId="0" borderId="0" xfId="0" applyFont="1" applyAlignment="1">
      <alignment horizontal="right"/>
    </xf>
    <xf numFmtId="0" fontId="10" fillId="0" borderId="0" xfId="0" applyFont="1"/>
    <xf numFmtId="0" fontId="5" fillId="0" borderId="0" xfId="0" applyFont="1" applyAlignment="1">
      <alignment horizontal="left" vertical="top"/>
    </xf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left" vertical="center"/>
    </xf>
    <xf numFmtId="0" fontId="5" fillId="2" borderId="3" xfId="0" applyFont="1" applyFill="1" applyBorder="1" applyAlignment="1">
      <alignment horizontal="left" vertical="center"/>
    </xf>
    <xf numFmtId="0" fontId="6" fillId="0" borderId="1" xfId="0" applyFont="1" applyBorder="1" applyAlignment="1">
      <alignment horizontal="right" vertical="center"/>
    </xf>
    <xf numFmtId="4" fontId="3" fillId="0" borderId="1" xfId="0" applyNumberFormat="1" applyFont="1" applyBorder="1" applyAlignment="1">
      <alignment horizontal="right" vertical="center"/>
    </xf>
    <xf numFmtId="0" fontId="2" fillId="0" borderId="1" xfId="0" applyFont="1" applyBorder="1" applyAlignment="1">
      <alignment horizontal="right" vertical="center"/>
    </xf>
    <xf numFmtId="4" fontId="2" fillId="0" borderId="1" xfId="1" applyNumberFormat="1" applyFont="1" applyFill="1" applyBorder="1" applyAlignment="1">
      <alignment horizontal="right" vertical="center"/>
    </xf>
    <xf numFmtId="4" fontId="2" fillId="0" borderId="1" xfId="1" applyNumberFormat="1" applyFont="1" applyBorder="1" applyAlignment="1">
      <alignment horizontal="right" vertical="center"/>
    </xf>
  </cellXfs>
  <cellStyles count="4">
    <cellStyle name="Comma" xfId="1" builtinId="3"/>
    <cellStyle name="Comma 2" xfId="3" xr:uid="{99631F99-0D51-42B5-BF7B-FD30F9C044D5}"/>
    <cellStyle name="Normal" xfId="0" builtinId="0"/>
    <cellStyle name="Normal 2" xfId="2" xr:uid="{CAC87FD3-60DB-459C-A8C5-44BB206DAFC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61DF86-94BE-48BF-94E4-1615BB2BFE2F}">
  <dimension ref="A1:Y28"/>
  <sheetViews>
    <sheetView tabSelected="1" zoomScale="117" workbookViewId="0">
      <selection activeCell="B4" sqref="B4"/>
    </sheetView>
  </sheetViews>
  <sheetFormatPr defaultRowHeight="15" x14ac:dyDescent="0.25"/>
  <cols>
    <col min="1" max="1" width="42.5703125" style="3" bestFit="1" customWidth="1"/>
    <col min="2" max="2" width="9.140625" style="3"/>
    <col min="3" max="3" width="9.140625" style="10"/>
    <col min="4" max="4" width="9.140625" style="3"/>
    <col min="5" max="5" width="9.140625" style="10"/>
    <col min="6" max="6" width="9.140625" style="3"/>
    <col min="7" max="7" width="9.140625" style="10"/>
    <col min="8" max="8" width="9.140625" style="3"/>
    <col min="9" max="9" width="9.140625" style="10"/>
    <col min="10" max="10" width="9.140625" style="3"/>
    <col min="11" max="11" width="9.140625" style="10"/>
    <col min="12" max="12" width="9.140625" style="3"/>
    <col min="13" max="13" width="9.140625" style="10"/>
    <col min="14" max="14" width="9.140625" style="3"/>
    <col min="15" max="15" width="9.140625" style="10"/>
    <col min="16" max="16" width="9.140625" style="3"/>
    <col min="17" max="17" width="9.140625" style="10"/>
    <col min="18" max="18" width="9.140625" style="3"/>
    <col min="19" max="19" width="9.140625" style="10"/>
    <col min="20" max="20" width="9.140625" style="3"/>
    <col min="21" max="21" width="9.140625" style="10"/>
    <col min="22" max="22" width="9.140625" style="3"/>
    <col min="23" max="23" width="9.140625" style="10"/>
    <col min="24" max="24" width="9.140625" style="3"/>
    <col min="25" max="25" width="9.140625" style="10"/>
    <col min="26" max="16384" width="9.140625" style="3"/>
  </cols>
  <sheetData>
    <row r="1" spans="1:25" x14ac:dyDescent="0.25">
      <c r="A1" s="15" t="s">
        <v>38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9"/>
    </row>
    <row r="2" spans="1:25" x14ac:dyDescent="0.25">
      <c r="Y2" s="13" t="s">
        <v>37</v>
      </c>
    </row>
    <row r="3" spans="1:25" s="10" customFormat="1" ht="30" customHeight="1" x14ac:dyDescent="0.25">
      <c r="A3" s="17" t="s">
        <v>0</v>
      </c>
      <c r="B3" s="16" t="s">
        <v>1</v>
      </c>
      <c r="C3" s="16"/>
      <c r="D3" s="16" t="s">
        <v>2</v>
      </c>
      <c r="E3" s="16"/>
      <c r="F3" s="16" t="s">
        <v>3</v>
      </c>
      <c r="G3" s="16"/>
      <c r="H3" s="16" t="s">
        <v>4</v>
      </c>
      <c r="I3" s="16"/>
      <c r="J3" s="16" t="s">
        <v>5</v>
      </c>
      <c r="K3" s="16"/>
      <c r="L3" s="16" t="s">
        <v>30</v>
      </c>
      <c r="M3" s="16"/>
      <c r="N3" s="16" t="s">
        <v>6</v>
      </c>
      <c r="O3" s="16"/>
      <c r="P3" s="16" t="s">
        <v>8</v>
      </c>
      <c r="Q3" s="16"/>
      <c r="R3" s="16" t="s">
        <v>7</v>
      </c>
      <c r="S3" s="16"/>
      <c r="T3" s="16" t="s">
        <v>9</v>
      </c>
      <c r="U3" s="16"/>
      <c r="V3" s="16" t="s">
        <v>28</v>
      </c>
      <c r="W3" s="16"/>
      <c r="X3" s="16" t="s">
        <v>29</v>
      </c>
      <c r="Y3" s="16"/>
    </row>
    <row r="4" spans="1:25" ht="30" x14ac:dyDescent="0.25">
      <c r="A4" s="18"/>
      <c r="B4" s="6" t="s">
        <v>32</v>
      </c>
      <c r="C4" s="6" t="s">
        <v>36</v>
      </c>
      <c r="D4" s="6" t="s">
        <v>32</v>
      </c>
      <c r="E4" s="6" t="s">
        <v>36</v>
      </c>
      <c r="F4" s="6" t="s">
        <v>32</v>
      </c>
      <c r="G4" s="6" t="s">
        <v>36</v>
      </c>
      <c r="H4" s="6" t="s">
        <v>32</v>
      </c>
      <c r="I4" s="6" t="s">
        <v>36</v>
      </c>
      <c r="J4" s="6" t="s">
        <v>32</v>
      </c>
      <c r="K4" s="6" t="s">
        <v>36</v>
      </c>
      <c r="L4" s="6" t="s">
        <v>32</v>
      </c>
      <c r="M4" s="6" t="s">
        <v>36</v>
      </c>
      <c r="N4" s="6" t="s">
        <v>32</v>
      </c>
      <c r="O4" s="6" t="s">
        <v>36</v>
      </c>
      <c r="P4" s="6" t="s">
        <v>32</v>
      </c>
      <c r="Q4" s="6" t="s">
        <v>36</v>
      </c>
      <c r="R4" s="6" t="s">
        <v>32</v>
      </c>
      <c r="S4" s="6" t="s">
        <v>36</v>
      </c>
      <c r="T4" s="6" t="s">
        <v>32</v>
      </c>
      <c r="U4" s="6" t="s">
        <v>36</v>
      </c>
      <c r="V4" s="6" t="s">
        <v>32</v>
      </c>
      <c r="W4" s="6" t="s">
        <v>36</v>
      </c>
      <c r="X4" s="6" t="s">
        <v>32</v>
      </c>
      <c r="Y4" s="6" t="s">
        <v>36</v>
      </c>
    </row>
    <row r="5" spans="1:25" ht="15.75" x14ac:dyDescent="0.3">
      <c r="A5" s="11" t="s">
        <v>11</v>
      </c>
      <c r="B5" s="19">
        <v>1</v>
      </c>
      <c r="C5" s="20">
        <f>40</f>
        <v>40</v>
      </c>
      <c r="D5" s="19">
        <v>2</v>
      </c>
      <c r="E5" s="20">
        <f>7.5+8</f>
        <v>15.5</v>
      </c>
      <c r="F5" s="19">
        <v>8</v>
      </c>
      <c r="G5" s="20">
        <f>17+18+33.5+8+19+18+23.6+23.5</f>
        <v>160.6</v>
      </c>
      <c r="H5" s="19">
        <v>0</v>
      </c>
      <c r="I5" s="20">
        <v>0</v>
      </c>
      <c r="J5" s="19">
        <v>0</v>
      </c>
      <c r="K5" s="20">
        <v>0</v>
      </c>
      <c r="L5" s="19">
        <v>0</v>
      </c>
      <c r="M5" s="20">
        <v>0</v>
      </c>
      <c r="N5" s="19">
        <v>0</v>
      </c>
      <c r="O5" s="20">
        <v>0</v>
      </c>
      <c r="P5" s="19">
        <v>0</v>
      </c>
      <c r="Q5" s="20">
        <f>50</f>
        <v>50</v>
      </c>
      <c r="R5" s="19">
        <v>1</v>
      </c>
      <c r="S5" s="20">
        <v>0</v>
      </c>
      <c r="T5" s="7">
        <v>0</v>
      </c>
      <c r="U5" s="1">
        <v>0</v>
      </c>
      <c r="V5" s="7">
        <v>0</v>
      </c>
      <c r="W5" s="1">
        <v>0</v>
      </c>
      <c r="X5" s="7">
        <v>5</v>
      </c>
      <c r="Y5" s="1">
        <f>24.39+24.39+18.29+33.54+27.44</f>
        <v>128.04999999999998</v>
      </c>
    </row>
    <row r="6" spans="1:25" ht="15.75" x14ac:dyDescent="0.3">
      <c r="A6" s="11" t="s">
        <v>34</v>
      </c>
      <c r="B6" s="19">
        <v>1</v>
      </c>
      <c r="C6" s="20">
        <f>9</f>
        <v>9</v>
      </c>
      <c r="D6" s="19">
        <v>1</v>
      </c>
      <c r="E6" s="20">
        <f>126</f>
        <v>126</v>
      </c>
      <c r="F6" s="19">
        <v>2</v>
      </c>
      <c r="G6" s="20">
        <f>9+9+10+16</f>
        <v>44</v>
      </c>
      <c r="H6" s="19">
        <v>0</v>
      </c>
      <c r="I6" s="20">
        <v>0</v>
      </c>
      <c r="J6" s="19">
        <v>2</v>
      </c>
      <c r="K6" s="20">
        <f>30+50</f>
        <v>80</v>
      </c>
      <c r="L6" s="19">
        <v>6</v>
      </c>
      <c r="M6" s="20">
        <f>67+67+50+30+145+25+123.55</f>
        <v>507.55</v>
      </c>
      <c r="N6" s="19">
        <v>0</v>
      </c>
      <c r="O6" s="20">
        <v>0</v>
      </c>
      <c r="P6" s="19">
        <v>1</v>
      </c>
      <c r="Q6" s="20">
        <v>0</v>
      </c>
      <c r="R6" s="19">
        <v>3</v>
      </c>
      <c r="S6" s="20">
        <f>75+100+70+150</f>
        <v>395</v>
      </c>
      <c r="T6" s="7">
        <v>5</v>
      </c>
      <c r="U6" s="1">
        <f>30+25+30+30+29</f>
        <v>144</v>
      </c>
      <c r="V6" s="7">
        <v>0</v>
      </c>
      <c r="W6" s="1">
        <v>0</v>
      </c>
      <c r="X6" s="7">
        <v>7</v>
      </c>
      <c r="Y6" s="1">
        <f>24.39+42.68+57.93+33.54+60.98+21.34+54.88</f>
        <v>295.74</v>
      </c>
    </row>
    <row r="7" spans="1:25" ht="15.75" x14ac:dyDescent="0.3">
      <c r="A7" s="11" t="s">
        <v>12</v>
      </c>
      <c r="B7" s="19">
        <v>0</v>
      </c>
      <c r="C7" s="20">
        <v>0</v>
      </c>
      <c r="D7" s="19">
        <v>1</v>
      </c>
      <c r="E7" s="20">
        <f>8</f>
        <v>8</v>
      </c>
      <c r="F7" s="19">
        <v>0</v>
      </c>
      <c r="G7" s="20">
        <v>0</v>
      </c>
      <c r="H7" s="19">
        <v>0</v>
      </c>
      <c r="I7" s="20">
        <v>0</v>
      </c>
      <c r="J7" s="19">
        <v>0</v>
      </c>
      <c r="K7" s="20">
        <v>0</v>
      </c>
      <c r="L7" s="19">
        <v>1</v>
      </c>
      <c r="M7" s="20">
        <f>40</f>
        <v>40</v>
      </c>
      <c r="N7" s="19">
        <v>1</v>
      </c>
      <c r="O7" s="20">
        <f>95.2</f>
        <v>95.2</v>
      </c>
      <c r="P7" s="19">
        <v>0</v>
      </c>
      <c r="Q7" s="20">
        <v>0</v>
      </c>
      <c r="R7" s="19">
        <v>1</v>
      </c>
      <c r="S7" s="20">
        <f>57.6</f>
        <v>57.6</v>
      </c>
      <c r="T7" s="7">
        <v>0</v>
      </c>
      <c r="U7" s="1">
        <v>0</v>
      </c>
      <c r="V7" s="7">
        <v>0</v>
      </c>
      <c r="W7" s="1">
        <v>0</v>
      </c>
      <c r="X7" s="7">
        <v>9</v>
      </c>
      <c r="Y7" s="1">
        <f>12.2+9.15+48.78+30.49+21.34+18.29+15.24+30.49</f>
        <v>185.98000000000002</v>
      </c>
    </row>
    <row r="8" spans="1:25" ht="15.75" x14ac:dyDescent="0.3">
      <c r="A8" s="11" t="s">
        <v>13</v>
      </c>
      <c r="B8" s="19">
        <v>0</v>
      </c>
      <c r="C8" s="20">
        <v>0</v>
      </c>
      <c r="D8" s="19">
        <v>0</v>
      </c>
      <c r="E8" s="20">
        <v>0</v>
      </c>
      <c r="F8" s="19">
        <v>0</v>
      </c>
      <c r="G8" s="20">
        <v>0</v>
      </c>
      <c r="H8" s="19">
        <v>0</v>
      </c>
      <c r="I8" s="20">
        <v>0</v>
      </c>
      <c r="J8" s="19">
        <v>0</v>
      </c>
      <c r="K8" s="20">
        <v>0</v>
      </c>
      <c r="L8" s="19">
        <v>0</v>
      </c>
      <c r="M8" s="20">
        <v>0</v>
      </c>
      <c r="N8" s="19">
        <v>0</v>
      </c>
      <c r="O8" s="20">
        <v>0</v>
      </c>
      <c r="P8" s="19">
        <v>0</v>
      </c>
      <c r="Q8" s="20">
        <v>0</v>
      </c>
      <c r="R8" s="19">
        <v>0</v>
      </c>
      <c r="S8" s="20">
        <v>0</v>
      </c>
      <c r="T8" s="7">
        <v>0</v>
      </c>
      <c r="U8" s="1">
        <v>0</v>
      </c>
      <c r="V8" s="7">
        <v>0</v>
      </c>
      <c r="W8" s="1">
        <v>0</v>
      </c>
      <c r="X8" s="7">
        <v>5</v>
      </c>
      <c r="Y8" s="1">
        <f>36.59+21.34+27.44+27.44+33.54</f>
        <v>146.35</v>
      </c>
    </row>
    <row r="9" spans="1:25" ht="15.75" x14ac:dyDescent="0.3">
      <c r="A9" s="11" t="s">
        <v>14</v>
      </c>
      <c r="B9" s="19">
        <v>0</v>
      </c>
      <c r="C9" s="20">
        <v>0</v>
      </c>
      <c r="D9" s="19">
        <v>0</v>
      </c>
      <c r="E9" s="20">
        <v>0</v>
      </c>
      <c r="F9" s="19">
        <v>3</v>
      </c>
      <c r="G9" s="20">
        <f>11+19.3+22.4</f>
        <v>52.7</v>
      </c>
      <c r="H9" s="19">
        <v>0</v>
      </c>
      <c r="I9" s="20">
        <v>0</v>
      </c>
      <c r="J9" s="19">
        <v>0</v>
      </c>
      <c r="K9" s="20">
        <v>0</v>
      </c>
      <c r="L9" s="19">
        <v>0</v>
      </c>
      <c r="M9" s="20">
        <v>0</v>
      </c>
      <c r="N9" s="19">
        <v>0</v>
      </c>
      <c r="O9" s="20">
        <v>0</v>
      </c>
      <c r="P9" s="19">
        <v>1</v>
      </c>
      <c r="Q9" s="20">
        <v>0</v>
      </c>
      <c r="R9" s="19">
        <v>2</v>
      </c>
      <c r="S9" s="20">
        <f>40+35+40</f>
        <v>115</v>
      </c>
      <c r="T9" s="7">
        <v>0</v>
      </c>
      <c r="U9" s="1">
        <v>0</v>
      </c>
      <c r="V9" s="7">
        <v>0</v>
      </c>
      <c r="W9" s="1">
        <v>0</v>
      </c>
      <c r="X9" s="7">
        <v>5</v>
      </c>
      <c r="Y9" s="1">
        <f>30.49+21.34+27.44+112.8+33.54</f>
        <v>225.60999999999999</v>
      </c>
    </row>
    <row r="10" spans="1:25" ht="15.75" x14ac:dyDescent="0.3">
      <c r="A10" s="11" t="s">
        <v>31</v>
      </c>
      <c r="B10" s="19">
        <v>0</v>
      </c>
      <c r="C10" s="20">
        <v>0</v>
      </c>
      <c r="D10" s="19">
        <v>3</v>
      </c>
      <c r="E10" s="20">
        <f>10+10+10</f>
        <v>30</v>
      </c>
      <c r="F10" s="19">
        <v>1</v>
      </c>
      <c r="G10" s="20">
        <f>16</f>
        <v>16</v>
      </c>
      <c r="H10" s="19">
        <v>0</v>
      </c>
      <c r="I10" s="20">
        <v>0</v>
      </c>
      <c r="J10" s="19">
        <v>0</v>
      </c>
      <c r="K10" s="20">
        <v>0</v>
      </c>
      <c r="L10" s="19">
        <v>0</v>
      </c>
      <c r="M10" s="20">
        <v>0</v>
      </c>
      <c r="N10" s="19">
        <v>1</v>
      </c>
      <c r="O10" s="20">
        <f>70</f>
        <v>70</v>
      </c>
      <c r="P10" s="19">
        <v>0</v>
      </c>
      <c r="Q10" s="20">
        <v>0</v>
      </c>
      <c r="R10" s="19">
        <v>0</v>
      </c>
      <c r="S10" s="20">
        <v>0</v>
      </c>
      <c r="T10" s="7">
        <v>0</v>
      </c>
      <c r="U10" s="1">
        <v>0</v>
      </c>
      <c r="V10" s="7">
        <v>0</v>
      </c>
      <c r="W10" s="1">
        <v>0</v>
      </c>
      <c r="X10" s="7">
        <v>15</v>
      </c>
      <c r="Y10" s="1">
        <f>18.29+21.34+18.29+33.54+24.39+48.78+60.98+27.44+27.44+24.39+42.68+36.59+33.54+27.44+30.49</f>
        <v>475.62</v>
      </c>
    </row>
    <row r="11" spans="1:25" ht="15.75" x14ac:dyDescent="0.3">
      <c r="A11" s="11" t="s">
        <v>35</v>
      </c>
      <c r="B11" s="19">
        <v>0</v>
      </c>
      <c r="C11" s="20">
        <v>0</v>
      </c>
      <c r="D11" s="19">
        <v>4</v>
      </c>
      <c r="E11" s="20">
        <f>10+11+12+12</f>
        <v>45</v>
      </c>
      <c r="F11" s="19">
        <v>6</v>
      </c>
      <c r="G11" s="20">
        <f>18.5+19+21.4+21+12</f>
        <v>91.9</v>
      </c>
      <c r="H11" s="19">
        <v>0</v>
      </c>
      <c r="I11" s="20">
        <v>0</v>
      </c>
      <c r="J11" s="19">
        <v>0</v>
      </c>
      <c r="K11" s="20">
        <v>0</v>
      </c>
      <c r="L11" s="19">
        <v>1</v>
      </c>
      <c r="M11" s="20">
        <f>66.2+50</f>
        <v>116.2</v>
      </c>
      <c r="N11" s="19">
        <v>0</v>
      </c>
      <c r="O11" s="20">
        <v>0</v>
      </c>
      <c r="P11" s="19">
        <v>2</v>
      </c>
      <c r="Q11" s="20">
        <f>54</f>
        <v>54</v>
      </c>
      <c r="R11" s="19">
        <v>1</v>
      </c>
      <c r="S11" s="20">
        <f>40+24</f>
        <v>64</v>
      </c>
      <c r="T11" s="7">
        <v>0</v>
      </c>
      <c r="U11" s="1">
        <v>0</v>
      </c>
      <c r="V11" s="7">
        <v>1</v>
      </c>
      <c r="W11" s="1">
        <f>121.95</f>
        <v>121.95</v>
      </c>
      <c r="X11" s="7">
        <v>12</v>
      </c>
      <c r="Y11" s="1">
        <f>24.39+27.44+15.24+15.24+18.29+27.44+21.34+57.93+33.54+30.49+30.49+24.39</f>
        <v>326.21999999999997</v>
      </c>
    </row>
    <row r="12" spans="1:25" ht="15.75" x14ac:dyDescent="0.3">
      <c r="A12" s="11" t="s">
        <v>15</v>
      </c>
      <c r="B12" s="19">
        <v>2</v>
      </c>
      <c r="C12" s="20">
        <f>11+100</f>
        <v>111</v>
      </c>
      <c r="D12" s="19">
        <v>1</v>
      </c>
      <c r="E12" s="20">
        <f>15.9</f>
        <v>15.9</v>
      </c>
      <c r="F12" s="19">
        <v>2</v>
      </c>
      <c r="G12" s="20">
        <f>10+11</f>
        <v>21</v>
      </c>
      <c r="H12" s="19">
        <v>0</v>
      </c>
      <c r="I12" s="20">
        <v>0</v>
      </c>
      <c r="J12" s="19">
        <v>1</v>
      </c>
      <c r="K12" s="20">
        <f>18</f>
        <v>18</v>
      </c>
      <c r="L12" s="19">
        <v>3</v>
      </c>
      <c r="M12" s="20">
        <f>77+30+56</f>
        <v>163</v>
      </c>
      <c r="N12" s="19">
        <v>0</v>
      </c>
      <c r="O12" s="20">
        <v>0</v>
      </c>
      <c r="P12" s="19">
        <v>2</v>
      </c>
      <c r="Q12" s="20">
        <v>0</v>
      </c>
      <c r="R12" s="19">
        <v>0</v>
      </c>
      <c r="S12" s="20">
        <f>67+67</f>
        <v>134</v>
      </c>
      <c r="T12" s="7">
        <v>0</v>
      </c>
      <c r="U12" s="1">
        <v>0</v>
      </c>
      <c r="V12" s="7">
        <v>0</v>
      </c>
      <c r="W12" s="1">
        <v>0</v>
      </c>
      <c r="X12" s="7">
        <v>10</v>
      </c>
      <c r="Y12" s="1">
        <f>45.73+36.59+33.54+33.54+27.44+15.24+33.54+30.49+24.39+60.98</f>
        <v>341.47999999999996</v>
      </c>
    </row>
    <row r="13" spans="1:25" ht="15.75" x14ac:dyDescent="0.3">
      <c r="A13" s="11" t="s">
        <v>16</v>
      </c>
      <c r="B13" s="19">
        <v>0</v>
      </c>
      <c r="C13" s="20">
        <v>0</v>
      </c>
      <c r="D13" s="19">
        <v>0</v>
      </c>
      <c r="E13" s="20">
        <v>0</v>
      </c>
      <c r="F13" s="19">
        <v>5</v>
      </c>
      <c r="G13" s="20">
        <f>30+30+21+16+20</f>
        <v>117</v>
      </c>
      <c r="H13" s="19">
        <v>1</v>
      </c>
      <c r="I13" s="20">
        <f>118</f>
        <v>118</v>
      </c>
      <c r="J13" s="19">
        <v>0</v>
      </c>
      <c r="K13" s="20">
        <v>0</v>
      </c>
      <c r="L13" s="19">
        <v>0</v>
      </c>
      <c r="M13" s="20">
        <v>0</v>
      </c>
      <c r="N13" s="19">
        <v>0</v>
      </c>
      <c r="O13" s="20">
        <v>0</v>
      </c>
      <c r="P13" s="19">
        <v>1</v>
      </c>
      <c r="Q13" s="20">
        <v>0</v>
      </c>
      <c r="R13" s="19">
        <v>0</v>
      </c>
      <c r="S13" s="20">
        <f>50</f>
        <v>50</v>
      </c>
      <c r="T13" s="7">
        <v>0</v>
      </c>
      <c r="U13" s="1">
        <v>0</v>
      </c>
      <c r="V13" s="7">
        <v>0</v>
      </c>
      <c r="W13" s="1">
        <v>0</v>
      </c>
      <c r="X13" s="7">
        <v>7</v>
      </c>
      <c r="Y13" s="1">
        <f>51.82+24.39+24.39+27.44+21.34+30.49+42.68</f>
        <v>222.55000000000004</v>
      </c>
    </row>
    <row r="14" spans="1:25" ht="15.75" x14ac:dyDescent="0.3">
      <c r="A14" s="11" t="s">
        <v>17</v>
      </c>
      <c r="B14" s="19">
        <v>0</v>
      </c>
      <c r="C14" s="20">
        <v>0</v>
      </c>
      <c r="D14" s="19">
        <v>1</v>
      </c>
      <c r="E14" s="20">
        <f>12</f>
        <v>12</v>
      </c>
      <c r="F14" s="19">
        <v>1</v>
      </c>
      <c r="G14" s="20">
        <f>20</f>
        <v>20</v>
      </c>
      <c r="H14" s="19">
        <v>0</v>
      </c>
      <c r="I14" s="20">
        <v>0</v>
      </c>
      <c r="J14" s="19">
        <v>0</v>
      </c>
      <c r="K14" s="20">
        <v>0</v>
      </c>
      <c r="L14" s="19">
        <v>0</v>
      </c>
      <c r="M14" s="20">
        <v>0</v>
      </c>
      <c r="N14" s="19">
        <v>0</v>
      </c>
      <c r="O14" s="20">
        <v>0</v>
      </c>
      <c r="P14" s="19">
        <v>0</v>
      </c>
      <c r="Q14" s="20">
        <v>0</v>
      </c>
      <c r="R14" s="19">
        <v>0</v>
      </c>
      <c r="S14" s="20">
        <v>0</v>
      </c>
      <c r="T14" s="7">
        <v>0</v>
      </c>
      <c r="U14" s="1">
        <v>0</v>
      </c>
      <c r="V14" s="7">
        <v>0</v>
      </c>
      <c r="W14" s="1">
        <v>0</v>
      </c>
      <c r="X14" s="7">
        <v>9</v>
      </c>
      <c r="Y14" s="1">
        <f>54.88+18.29+15.24+21.34+15.24+18.29+85.37+60.98+54.88</f>
        <v>344.51</v>
      </c>
    </row>
    <row r="15" spans="1:25" ht="15.75" x14ac:dyDescent="0.3">
      <c r="A15" s="11" t="s">
        <v>18</v>
      </c>
      <c r="B15" s="19">
        <v>5</v>
      </c>
      <c r="C15" s="20">
        <f>18+10+12+8+13</f>
        <v>61</v>
      </c>
      <c r="D15" s="19">
        <v>0</v>
      </c>
      <c r="E15" s="20">
        <v>0</v>
      </c>
      <c r="F15" s="19">
        <v>2</v>
      </c>
      <c r="G15" s="20">
        <f>30+12.2</f>
        <v>42.2</v>
      </c>
      <c r="H15" s="19">
        <v>1</v>
      </c>
      <c r="I15" s="20">
        <f>19</f>
        <v>19</v>
      </c>
      <c r="J15" s="19">
        <v>0</v>
      </c>
      <c r="K15" s="20">
        <v>0</v>
      </c>
      <c r="L15" s="19">
        <v>1</v>
      </c>
      <c r="M15" s="20">
        <f>50</f>
        <v>50</v>
      </c>
      <c r="N15" s="19">
        <v>0</v>
      </c>
      <c r="O15" s="20">
        <v>0</v>
      </c>
      <c r="P15" s="19">
        <v>0</v>
      </c>
      <c r="Q15" s="20">
        <v>0</v>
      </c>
      <c r="R15" s="19">
        <v>1</v>
      </c>
      <c r="S15" s="20">
        <f>80</f>
        <v>80</v>
      </c>
      <c r="T15" s="7">
        <v>1</v>
      </c>
      <c r="U15" s="1">
        <f>60</f>
        <v>60</v>
      </c>
      <c r="V15" s="7">
        <v>0</v>
      </c>
      <c r="W15" s="1">
        <v>0</v>
      </c>
      <c r="X15" s="7">
        <v>12</v>
      </c>
      <c r="Y15" s="1">
        <f>15.24+30.49+24.39+36.59+39.63+45.73+39.63+42.68+73+24</f>
        <v>371.38</v>
      </c>
    </row>
    <row r="16" spans="1:25" ht="15.75" x14ac:dyDescent="0.3">
      <c r="A16" s="11" t="s">
        <v>19</v>
      </c>
      <c r="B16" s="19">
        <v>0</v>
      </c>
      <c r="C16" s="20">
        <v>0</v>
      </c>
      <c r="D16" s="19">
        <v>0</v>
      </c>
      <c r="E16" s="20">
        <v>0</v>
      </c>
      <c r="F16" s="19">
        <v>3</v>
      </c>
      <c r="G16" s="20">
        <f>20+25+25</f>
        <v>70</v>
      </c>
      <c r="H16" s="19">
        <v>0</v>
      </c>
      <c r="I16" s="20">
        <v>0</v>
      </c>
      <c r="J16" s="19">
        <v>0</v>
      </c>
      <c r="K16" s="20">
        <v>0</v>
      </c>
      <c r="L16" s="19">
        <v>0</v>
      </c>
      <c r="M16" s="20">
        <v>0</v>
      </c>
      <c r="N16" s="19">
        <v>1</v>
      </c>
      <c r="O16" s="20">
        <f>175</f>
        <v>175</v>
      </c>
      <c r="P16" s="19">
        <v>0</v>
      </c>
      <c r="Q16" s="20">
        <v>0</v>
      </c>
      <c r="R16" s="19">
        <v>0</v>
      </c>
      <c r="S16" s="20">
        <v>0</v>
      </c>
      <c r="T16" s="7">
        <v>1</v>
      </c>
      <c r="U16" s="1">
        <f>36.6</f>
        <v>36.6</v>
      </c>
      <c r="V16" s="7">
        <v>3</v>
      </c>
      <c r="W16" s="1">
        <f>109.76+121.95+121.95</f>
        <v>353.66</v>
      </c>
      <c r="X16" s="7">
        <v>13</v>
      </c>
      <c r="Y16" s="1">
        <f>73.17+115.86+39.63+39.63+36.59+48.78+15.24+27.44+27.44+21.34+67.07+30.49+24.39+21.34+48.78+48.78</f>
        <v>685.96999999999991</v>
      </c>
    </row>
    <row r="17" spans="1:25" ht="15.75" x14ac:dyDescent="0.3">
      <c r="A17" s="11" t="s">
        <v>20</v>
      </c>
      <c r="B17" s="19">
        <v>8</v>
      </c>
      <c r="C17" s="20">
        <f>12+11+11+9+8+9+9+9</f>
        <v>78</v>
      </c>
      <c r="D17" s="19">
        <v>2</v>
      </c>
      <c r="E17" s="20">
        <f>9.2+10</f>
        <v>19.2</v>
      </c>
      <c r="F17" s="19">
        <v>5</v>
      </c>
      <c r="G17" s="20">
        <f>8+8+25+10+13</f>
        <v>64</v>
      </c>
      <c r="H17" s="19">
        <v>0</v>
      </c>
      <c r="I17" s="20">
        <v>0</v>
      </c>
      <c r="J17" s="19">
        <v>5</v>
      </c>
      <c r="K17" s="20">
        <f>88+52+40+88+40</f>
        <v>308</v>
      </c>
      <c r="L17" s="19">
        <v>6</v>
      </c>
      <c r="M17" s="20">
        <f>41.5+47.05+27.6+70+70+45</f>
        <v>301.14999999999998</v>
      </c>
      <c r="N17" s="19">
        <v>1</v>
      </c>
      <c r="O17" s="20">
        <f>70</f>
        <v>70</v>
      </c>
      <c r="P17" s="19">
        <v>1</v>
      </c>
      <c r="Q17" s="20">
        <v>0</v>
      </c>
      <c r="R17" s="19">
        <v>0</v>
      </c>
      <c r="S17" s="20">
        <f>120</f>
        <v>120</v>
      </c>
      <c r="T17" s="7">
        <v>0</v>
      </c>
      <c r="U17" s="1">
        <v>0</v>
      </c>
      <c r="V17" s="7">
        <v>0</v>
      </c>
      <c r="W17" s="1">
        <v>0</v>
      </c>
      <c r="X17" s="7">
        <v>6</v>
      </c>
      <c r="Y17" s="1">
        <f>39.63+48.78+45.73+121.95+36.59+33.59</f>
        <v>326.27</v>
      </c>
    </row>
    <row r="18" spans="1:25" ht="15.75" x14ac:dyDescent="0.3">
      <c r="A18" s="11" t="s">
        <v>21</v>
      </c>
      <c r="B18" s="19">
        <v>0</v>
      </c>
      <c r="C18" s="20">
        <v>0</v>
      </c>
      <c r="D18" s="19">
        <v>5</v>
      </c>
      <c r="E18" s="20">
        <f>16+5+8+12+7</f>
        <v>48</v>
      </c>
      <c r="F18" s="19">
        <v>10</v>
      </c>
      <c r="G18" s="20">
        <f>14+28+27+115+16+15+24+19.3</f>
        <v>258.3</v>
      </c>
      <c r="H18" s="19">
        <v>1</v>
      </c>
      <c r="I18" s="20">
        <f>126</f>
        <v>126</v>
      </c>
      <c r="J18" s="19">
        <v>0</v>
      </c>
      <c r="K18" s="20">
        <v>0</v>
      </c>
      <c r="L18" s="19">
        <v>3</v>
      </c>
      <c r="M18" s="20">
        <f>45+30</f>
        <v>75</v>
      </c>
      <c r="N18" s="19">
        <v>2</v>
      </c>
      <c r="O18" s="20">
        <f>48+78</f>
        <v>126</v>
      </c>
      <c r="P18" s="19">
        <v>1</v>
      </c>
      <c r="Q18" s="20">
        <v>0</v>
      </c>
      <c r="R18" s="19">
        <v>0</v>
      </c>
      <c r="S18" s="20">
        <f>40</f>
        <v>40</v>
      </c>
      <c r="T18" s="7">
        <v>0</v>
      </c>
      <c r="U18" s="1">
        <v>0</v>
      </c>
      <c r="V18" s="7">
        <v>0</v>
      </c>
      <c r="W18" s="1">
        <v>0</v>
      </c>
      <c r="X18" s="7">
        <v>8</v>
      </c>
      <c r="Y18" s="1">
        <f>27.44+9.14+27.44+9.14+30.48+12.19+33.54+36.59</f>
        <v>185.96</v>
      </c>
    </row>
    <row r="19" spans="1:25" ht="15.75" x14ac:dyDescent="0.3">
      <c r="A19" s="11" t="s">
        <v>22</v>
      </c>
      <c r="B19" s="19">
        <v>1</v>
      </c>
      <c r="C19" s="20">
        <f>35</f>
        <v>35</v>
      </c>
      <c r="D19" s="19">
        <v>3</v>
      </c>
      <c r="E19" s="20">
        <f>10+7.55+8.5</f>
        <v>26.05</v>
      </c>
      <c r="F19" s="19">
        <v>5</v>
      </c>
      <c r="G19" s="20">
        <f>11+19+50+45+13</f>
        <v>138</v>
      </c>
      <c r="H19" s="19">
        <v>0</v>
      </c>
      <c r="I19" s="20">
        <v>0</v>
      </c>
      <c r="J19" s="19">
        <v>0</v>
      </c>
      <c r="K19" s="20">
        <v>0</v>
      </c>
      <c r="L19" s="19">
        <v>0</v>
      </c>
      <c r="M19" s="20">
        <v>0</v>
      </c>
      <c r="N19" s="19">
        <v>0</v>
      </c>
      <c r="O19" s="20">
        <v>0</v>
      </c>
      <c r="P19" s="19">
        <v>1</v>
      </c>
      <c r="Q19" s="20">
        <v>0</v>
      </c>
      <c r="R19" s="19">
        <v>0</v>
      </c>
      <c r="S19" s="20">
        <f>90</f>
        <v>90</v>
      </c>
      <c r="T19" s="7">
        <v>0</v>
      </c>
      <c r="U19" s="1">
        <v>0</v>
      </c>
      <c r="V19" s="7">
        <v>1</v>
      </c>
      <c r="W19" s="1">
        <f>109.76</f>
        <v>109.76</v>
      </c>
      <c r="X19" s="7">
        <v>11</v>
      </c>
      <c r="Y19" s="1">
        <f>30.49+15.24+27.44+54.88+36.59+36.59+33.54+21.34+36.59+36.59+24.39</f>
        <v>353.68000000000006</v>
      </c>
    </row>
    <row r="20" spans="1:25" ht="15.75" x14ac:dyDescent="0.3">
      <c r="A20" s="11" t="s">
        <v>23</v>
      </c>
      <c r="B20" s="19">
        <v>0</v>
      </c>
      <c r="C20" s="20">
        <v>0</v>
      </c>
      <c r="D20" s="19">
        <v>4</v>
      </c>
      <c r="E20" s="20">
        <f>7.8+9.3+7.2+10</f>
        <v>34.299999999999997</v>
      </c>
      <c r="F20" s="19">
        <v>0</v>
      </c>
      <c r="G20" s="20">
        <v>0</v>
      </c>
      <c r="H20" s="19">
        <v>0</v>
      </c>
      <c r="I20" s="20">
        <v>0</v>
      </c>
      <c r="J20" s="19">
        <v>0</v>
      </c>
      <c r="K20" s="20">
        <v>0</v>
      </c>
      <c r="L20" s="19">
        <v>0</v>
      </c>
      <c r="M20" s="20">
        <v>0</v>
      </c>
      <c r="N20" s="19">
        <v>0</v>
      </c>
      <c r="O20" s="20">
        <v>0</v>
      </c>
      <c r="P20" s="19">
        <v>0</v>
      </c>
      <c r="Q20" s="20">
        <v>0</v>
      </c>
      <c r="R20" s="19">
        <v>0</v>
      </c>
      <c r="S20" s="20">
        <v>0</v>
      </c>
      <c r="T20" s="7">
        <v>0</v>
      </c>
      <c r="U20" s="1">
        <v>0</v>
      </c>
      <c r="V20" s="7">
        <v>0</v>
      </c>
      <c r="W20" s="1">
        <v>0</v>
      </c>
      <c r="X20" s="7">
        <v>6</v>
      </c>
      <c r="Y20" s="1">
        <f>33.54+36.59+33.54+36.59+24.39+60.98</f>
        <v>225.62999999999997</v>
      </c>
    </row>
    <row r="21" spans="1:25" ht="15.75" x14ac:dyDescent="0.3">
      <c r="A21" s="11" t="s">
        <v>24</v>
      </c>
      <c r="B21" s="19">
        <v>2</v>
      </c>
      <c r="C21" s="20">
        <f>35+34</f>
        <v>69</v>
      </c>
      <c r="D21" s="19">
        <v>2</v>
      </c>
      <c r="E21" s="20">
        <f>6+7</f>
        <v>13</v>
      </c>
      <c r="F21" s="19">
        <v>3</v>
      </c>
      <c r="G21" s="20">
        <f>28+25+25</f>
        <v>78</v>
      </c>
      <c r="H21" s="19">
        <v>0</v>
      </c>
      <c r="I21" s="20">
        <v>0</v>
      </c>
      <c r="J21" s="19">
        <v>0</v>
      </c>
      <c r="K21" s="20">
        <v>0</v>
      </c>
      <c r="L21" s="19">
        <v>1</v>
      </c>
      <c r="M21" s="20">
        <f>46.5</f>
        <v>46.5</v>
      </c>
      <c r="N21" s="19">
        <v>0</v>
      </c>
      <c r="O21" s="20">
        <v>0</v>
      </c>
      <c r="P21" s="19">
        <v>3</v>
      </c>
      <c r="Q21" s="20">
        <f>43</f>
        <v>43</v>
      </c>
      <c r="R21" s="19">
        <v>1</v>
      </c>
      <c r="S21" s="20">
        <f>33.6+50+50</f>
        <v>133.6</v>
      </c>
      <c r="T21" s="7">
        <v>0</v>
      </c>
      <c r="U21" s="1">
        <v>0</v>
      </c>
      <c r="V21" s="7">
        <v>1</v>
      </c>
      <c r="W21" s="1">
        <f>109.76</f>
        <v>109.76</v>
      </c>
      <c r="X21" s="7">
        <v>8</v>
      </c>
      <c r="Y21" s="1">
        <f>42.68+15.24+27.44+21.34+48.78+48.78+18.29+18.29</f>
        <v>240.84</v>
      </c>
    </row>
    <row r="22" spans="1:25" ht="15.75" x14ac:dyDescent="0.3">
      <c r="A22" s="11" t="s">
        <v>25</v>
      </c>
      <c r="B22" s="19">
        <v>0</v>
      </c>
      <c r="C22" s="20">
        <v>0</v>
      </c>
      <c r="D22" s="19">
        <v>2</v>
      </c>
      <c r="E22" s="20">
        <f>21+10</f>
        <v>31</v>
      </c>
      <c r="F22" s="19">
        <v>0</v>
      </c>
      <c r="G22" s="20">
        <v>0</v>
      </c>
      <c r="H22" s="19">
        <v>0</v>
      </c>
      <c r="I22" s="20">
        <v>0</v>
      </c>
      <c r="J22" s="19">
        <v>0</v>
      </c>
      <c r="K22" s="20">
        <v>0</v>
      </c>
      <c r="L22" s="19">
        <v>2</v>
      </c>
      <c r="M22" s="20">
        <f>50+45</f>
        <v>95</v>
      </c>
      <c r="N22" s="19">
        <v>1</v>
      </c>
      <c r="O22" s="20">
        <f>86</f>
        <v>86</v>
      </c>
      <c r="P22" s="19">
        <v>0</v>
      </c>
      <c r="Q22" s="20">
        <v>0</v>
      </c>
      <c r="R22" s="19">
        <v>0</v>
      </c>
      <c r="S22" s="20">
        <v>0</v>
      </c>
      <c r="T22" s="7">
        <v>0</v>
      </c>
      <c r="U22" s="1">
        <v>0</v>
      </c>
      <c r="V22" s="7">
        <v>0</v>
      </c>
      <c r="W22" s="1">
        <v>0</v>
      </c>
      <c r="X22" s="7">
        <v>2</v>
      </c>
      <c r="Y22" s="1">
        <f>33.54+33.54</f>
        <v>67.08</v>
      </c>
    </row>
    <row r="23" spans="1:25" ht="15.75" x14ac:dyDescent="0.3">
      <c r="A23" s="11" t="s">
        <v>26</v>
      </c>
      <c r="B23" s="19">
        <v>1</v>
      </c>
      <c r="C23" s="20">
        <f>45</f>
        <v>45</v>
      </c>
      <c r="D23" s="19">
        <v>2</v>
      </c>
      <c r="E23" s="20">
        <f>12+12</f>
        <v>24</v>
      </c>
      <c r="F23" s="19">
        <v>4</v>
      </c>
      <c r="G23" s="20">
        <f>16+10.8+16+21</f>
        <v>63.8</v>
      </c>
      <c r="H23" s="19">
        <v>1</v>
      </c>
      <c r="I23" s="20">
        <f>120</f>
        <v>120</v>
      </c>
      <c r="J23" s="19">
        <v>0</v>
      </c>
      <c r="K23" s="20">
        <v>0</v>
      </c>
      <c r="L23" s="19">
        <v>4</v>
      </c>
      <c r="M23" s="20">
        <f>45+47.5+40+30</f>
        <v>162.5</v>
      </c>
      <c r="N23" s="19">
        <v>0</v>
      </c>
      <c r="O23" s="20">
        <v>0</v>
      </c>
      <c r="P23" s="19">
        <v>1</v>
      </c>
      <c r="Q23" s="20">
        <f>43</f>
        <v>43</v>
      </c>
      <c r="R23" s="19">
        <v>1</v>
      </c>
      <c r="S23" s="20">
        <f>33</f>
        <v>33</v>
      </c>
      <c r="T23" s="7">
        <v>0</v>
      </c>
      <c r="U23" s="1">
        <v>0</v>
      </c>
      <c r="V23" s="7">
        <v>0</v>
      </c>
      <c r="W23" s="1">
        <v>0</v>
      </c>
      <c r="X23" s="7">
        <v>7</v>
      </c>
      <c r="Y23" s="1">
        <f>9.15+18.29+15.34+27.44+36.59+24.39+12.19</f>
        <v>143.38999999999999</v>
      </c>
    </row>
    <row r="24" spans="1:25" ht="15.75" x14ac:dyDescent="0.3">
      <c r="A24" s="11" t="s">
        <v>27</v>
      </c>
      <c r="B24" s="19">
        <v>3</v>
      </c>
      <c r="C24" s="20">
        <f>12+34+34</f>
        <v>80</v>
      </c>
      <c r="D24" s="19">
        <v>2</v>
      </c>
      <c r="E24" s="20">
        <f>10+9.8</f>
        <v>19.8</v>
      </c>
      <c r="F24" s="19">
        <v>7</v>
      </c>
      <c r="G24" s="20">
        <f>20+12+8.7+15.5+25.5+10+24</f>
        <v>115.7</v>
      </c>
      <c r="H24" s="19">
        <v>0</v>
      </c>
      <c r="I24" s="20">
        <v>0</v>
      </c>
      <c r="J24" s="19">
        <v>0</v>
      </c>
      <c r="K24" s="20">
        <v>0</v>
      </c>
      <c r="L24" s="19">
        <v>1</v>
      </c>
      <c r="M24" s="20">
        <f>128</f>
        <v>128</v>
      </c>
      <c r="N24" s="19">
        <v>4</v>
      </c>
      <c r="O24" s="20">
        <f>95.25+74.8+152+115</f>
        <v>437.05</v>
      </c>
      <c r="P24" s="19">
        <v>1</v>
      </c>
      <c r="Q24" s="20">
        <v>0</v>
      </c>
      <c r="R24" s="19">
        <v>0</v>
      </c>
      <c r="S24" s="20">
        <f>43.2</f>
        <v>43.2</v>
      </c>
      <c r="T24" s="7">
        <v>0</v>
      </c>
      <c r="U24" s="1">
        <v>0</v>
      </c>
      <c r="V24" s="7">
        <v>0</v>
      </c>
      <c r="W24" s="1">
        <v>0</v>
      </c>
      <c r="X24" s="7">
        <v>7</v>
      </c>
      <c r="Y24" s="1">
        <f>24.39+39.63+24.39+21.34+91.46+45.73+36.59</f>
        <v>283.52999999999997</v>
      </c>
    </row>
    <row r="25" spans="1:25" ht="15.75" x14ac:dyDescent="0.3">
      <c r="A25" s="12" t="s">
        <v>10</v>
      </c>
      <c r="B25" s="21">
        <v>24</v>
      </c>
      <c r="C25" s="22">
        <f>SUM(C5:C24)</f>
        <v>528</v>
      </c>
      <c r="D25" s="21">
        <v>35</v>
      </c>
      <c r="E25" s="23">
        <f t="shared" ref="E25" si="0">SUM(E5:E24)</f>
        <v>467.75000000000006</v>
      </c>
      <c r="F25" s="21">
        <v>67</v>
      </c>
      <c r="G25" s="23">
        <f t="shared" ref="G25" si="1">SUM(G5:G24)</f>
        <v>1353.2</v>
      </c>
      <c r="H25" s="21">
        <v>4</v>
      </c>
      <c r="I25" s="23">
        <f t="shared" ref="I25" si="2">SUM(I5:I24)</f>
        <v>383</v>
      </c>
      <c r="J25" s="21">
        <v>8</v>
      </c>
      <c r="K25" s="23">
        <f t="shared" ref="K25" si="3">SUM(K5:K24)</f>
        <v>406</v>
      </c>
      <c r="L25" s="21">
        <v>29</v>
      </c>
      <c r="M25" s="23">
        <f t="shared" ref="M25" si="4">SUM(M5:M24)</f>
        <v>1684.9</v>
      </c>
      <c r="N25" s="21">
        <v>11</v>
      </c>
      <c r="O25" s="23">
        <f t="shared" ref="O25" si="5">SUM(O5:O24)</f>
        <v>1059.25</v>
      </c>
      <c r="P25" s="21">
        <v>15</v>
      </c>
      <c r="Q25" s="23">
        <f t="shared" ref="Q25" si="6">SUM(Q5:Q24)</f>
        <v>190</v>
      </c>
      <c r="R25" s="21">
        <v>11</v>
      </c>
      <c r="S25" s="23">
        <f t="shared" ref="S25" si="7">SUM(S5:S24)</f>
        <v>1355.3999999999999</v>
      </c>
      <c r="T25" s="8">
        <v>7</v>
      </c>
      <c r="U25" s="2">
        <f t="shared" ref="U25" si="8">SUM(U5:U24)</f>
        <v>240.6</v>
      </c>
      <c r="V25" s="8">
        <v>6</v>
      </c>
      <c r="W25" s="2">
        <f t="shared" ref="W25" si="9">SUM(W5:W24)</f>
        <v>695.13</v>
      </c>
      <c r="X25" s="8">
        <v>164</v>
      </c>
      <c r="Y25" s="2">
        <f t="shared" ref="Y25" si="10">SUM(Y5:Y24)</f>
        <v>5575.84</v>
      </c>
    </row>
    <row r="26" spans="1:25" x14ac:dyDescent="0.25">
      <c r="A26" s="14" t="s">
        <v>33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</row>
    <row r="28" spans="1:25" ht="23.25" x14ac:dyDescent="0.35">
      <c r="F28" s="5"/>
      <c r="G28" s="5"/>
    </row>
  </sheetData>
  <mergeCells count="14">
    <mergeCell ref="X3:Y3"/>
    <mergeCell ref="A3:A4"/>
    <mergeCell ref="N3:O3"/>
    <mergeCell ref="P3:Q3"/>
    <mergeCell ref="R3:S3"/>
    <mergeCell ref="T3:U3"/>
    <mergeCell ref="V3:W3"/>
    <mergeCell ref="A1:L1"/>
    <mergeCell ref="B3:C3"/>
    <mergeCell ref="D3:E3"/>
    <mergeCell ref="F3:G3"/>
    <mergeCell ref="H3:I3"/>
    <mergeCell ref="J3:K3"/>
    <mergeCell ref="L3:M3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2021-08-09T07:57:48Z</dcterms:created>
  <dcterms:modified xsi:type="dcterms:W3CDTF">2021-09-20T03:08:46Z</dcterms:modified>
</cp:coreProperties>
</file>